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60" windowHeight="11460"/>
  </bookViews>
  <sheets>
    <sheet name="試算表格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E22" i="1"/>
  <c r="E23" i="1"/>
  <c r="E21" i="1"/>
  <c r="E20" i="1"/>
  <c r="E19" i="1"/>
  <c r="E18" i="1"/>
  <c r="E13" i="1"/>
  <c r="E12" i="1"/>
  <c r="E11" i="1"/>
  <c r="I22" i="1"/>
  <c r="J23" i="1"/>
  <c r="J21" i="1"/>
  <c r="J19" i="1"/>
  <c r="J18" i="1"/>
  <c r="J22" i="1"/>
  <c r="J20" i="1"/>
  <c r="I18" i="1"/>
  <c r="E17" i="1" l="1"/>
  <c r="E15" i="1" l="1"/>
  <c r="E10" i="1" l="1"/>
  <c r="J15" i="1"/>
  <c r="J14" i="1" l="1"/>
  <c r="J17" i="1"/>
  <c r="J16" i="1"/>
  <c r="I15" i="1"/>
  <c r="E16" i="1"/>
  <c r="E14" i="1"/>
  <c r="K15" i="1" l="1"/>
  <c r="L15" i="1" s="1"/>
  <c r="M15" i="1" s="1"/>
  <c r="I11" i="1" l="1"/>
  <c r="J11" i="1"/>
  <c r="J10" i="1"/>
  <c r="I10" i="1"/>
  <c r="J12" i="1"/>
  <c r="I20" i="1"/>
  <c r="G12" i="1"/>
  <c r="G11" i="1"/>
  <c r="J13" i="1"/>
  <c r="I12" i="1"/>
  <c r="K10" i="1" l="1"/>
  <c r="L10" i="1" s="1"/>
  <c r="M10" i="1" s="1"/>
  <c r="K18" i="1"/>
  <c r="L18" i="1" s="1"/>
  <c r="M18" i="1" s="1"/>
  <c r="K11" i="1"/>
  <c r="L11" i="1" s="1"/>
  <c r="M11" i="1" s="1"/>
  <c r="K12" i="1"/>
  <c r="L12" i="1" s="1"/>
  <c r="L22" i="1"/>
  <c r="M22" i="1" s="1"/>
  <c r="K20" i="1"/>
  <c r="L20" i="1" s="1"/>
  <c r="M20" i="1" s="1"/>
  <c r="P20" i="1" s="1"/>
  <c r="P22" i="1" l="1"/>
  <c r="M12" i="1"/>
  <c r="P12" i="1" s="1"/>
  <c r="Q12" i="1" s="1"/>
  <c r="M8" i="1" l="1"/>
  <c r="Q22" i="1" l="1"/>
  <c r="P15" i="1"/>
  <c r="Q15" i="1" s="1"/>
  <c r="Q20" i="1"/>
  <c r="P18" i="1"/>
  <c r="Q18" i="1" s="1"/>
</calcChain>
</file>

<file path=xl/sharedStrings.xml><?xml version="1.0" encoding="utf-8"?>
<sst xmlns="http://schemas.openxmlformats.org/spreadsheetml/2006/main" count="56" uniqueCount="50">
  <si>
    <t>房東有</t>
    <phoneticPr fontId="3" type="noConversion"/>
  </si>
  <si>
    <t>戶,以每月</t>
    <phoneticPr fontId="3" type="noConversion"/>
  </si>
  <si>
    <t>市場租金為例,房東的收入與所得稅分析</t>
    <phoneticPr fontId="3" type="noConversion"/>
  </si>
  <si>
    <t>(個綜級距以</t>
    <phoneticPr fontId="3" type="noConversion"/>
  </si>
  <si>
    <t>為例)</t>
    <phoneticPr fontId="3" type="noConversion"/>
  </si>
  <si>
    <t>一般住宅免稅額</t>
    <phoneticPr fontId="3" type="noConversion"/>
  </si>
  <si>
    <t>社會住宅免稅額</t>
    <phoneticPr fontId="3" type="noConversion"/>
  </si>
  <si>
    <t>稅後實收</t>
    <phoneticPr fontId="3" type="noConversion"/>
  </si>
  <si>
    <t>備註</t>
    <phoneticPr fontId="3" type="noConversion"/>
  </si>
  <si>
    <t>自理且不報稅</t>
    <phoneticPr fontId="3" type="noConversion"/>
  </si>
  <si>
    <t>逃漏稅,罰~</t>
    <phoneticPr fontId="3" type="noConversion"/>
  </si>
  <si>
    <t>自理 有申報</t>
    <phoneticPr fontId="3" type="noConversion"/>
  </si>
  <si>
    <t>委託代管業</t>
    <phoneticPr fontId="3" type="noConversion"/>
  </si>
  <si>
    <t>轉交包租業</t>
    <phoneticPr fontId="3" type="noConversion"/>
  </si>
  <si>
    <t>部頒必要成本費用率</t>
    <phoneticPr fontId="3" type="noConversion"/>
  </si>
  <si>
    <t>佣金：1個月租金</t>
    <phoneticPr fontId="3" type="noConversion"/>
  </si>
  <si>
    <t>算式</t>
    <phoneticPr fontId="3" type="noConversion"/>
  </si>
  <si>
    <t>市場租金90%</t>
    <phoneticPr fontId="3" type="noConversion"/>
  </si>
  <si>
    <t>市場租金80%</t>
    <phoneticPr fontId="3" type="noConversion"/>
  </si>
  <si>
    <t>包租租金折數</t>
    <phoneticPr fontId="3" type="noConversion"/>
  </si>
  <si>
    <t>15,000*10*12</t>
    <phoneticPr fontId="3" type="noConversion"/>
  </si>
  <si>
    <r>
      <rPr>
        <b/>
        <sz val="11"/>
        <color rgb="FF7030A0"/>
        <rFont val="新細明體"/>
        <family val="1"/>
        <charset val="136"/>
        <scheme val="minor"/>
      </rPr>
      <t>(A)</t>
    </r>
    <r>
      <rPr>
        <sz val="11"/>
        <color theme="1"/>
        <rFont val="新細明體"/>
        <family val="1"/>
        <charset val="136"/>
        <scheme val="minor"/>
      </rPr>
      <t>應付費用</t>
    </r>
    <phoneticPr fontId="3" type="noConversion"/>
  </si>
  <si>
    <r>
      <rPr>
        <b/>
        <sz val="11"/>
        <color rgb="FF7030A0"/>
        <rFont val="新細明體"/>
        <family val="1"/>
        <charset val="136"/>
        <scheme val="minor"/>
      </rPr>
      <t>(B)</t>
    </r>
    <r>
      <rPr>
        <sz val="11"/>
        <color theme="1"/>
        <rFont val="新細明體"/>
        <family val="1"/>
        <charset val="136"/>
        <scheme val="minor"/>
      </rPr>
      <t>所得稅</t>
    </r>
    <phoneticPr fontId="3" type="noConversion"/>
  </si>
  <si>
    <t>試算%</t>
    <phoneticPr fontId="3" type="noConversion"/>
  </si>
  <si>
    <t>※ 提醒注意：上列表格試算為省略部分參數之概略比較，實際情況仍應以個案細節做更精確的推算。</t>
    <phoneticPr fontId="3" type="noConversion"/>
  </si>
  <si>
    <t>委任代租業</t>
    <phoneticPr fontId="3" type="noConversion"/>
  </si>
  <si>
    <t>公益出租人</t>
    <phoneticPr fontId="3" type="noConversion"/>
  </si>
  <si>
    <t>社會
住宅包租代管</t>
    <phoneticPr fontId="3" type="noConversion"/>
  </si>
  <si>
    <t>合法包租代管業者</t>
    <phoneticPr fontId="3" type="noConversion"/>
  </si>
  <si>
    <t>一般
仲介業</t>
    <phoneticPr fontId="3" type="noConversion"/>
  </si>
  <si>
    <t>6000元/月</t>
    <phoneticPr fontId="3" type="noConversion"/>
  </si>
  <si>
    <t>20000元/月</t>
    <phoneticPr fontId="3" type="noConversion"/>
  </si>
  <si>
    <t>20001元/月</t>
    <phoneticPr fontId="3" type="noConversion"/>
  </si>
  <si>
    <t>0-6000</t>
    <phoneticPr fontId="3" type="noConversion"/>
  </si>
  <si>
    <t>6001-20000</t>
    <phoneticPr fontId="3" type="noConversion"/>
  </si>
  <si>
    <t>租金收入-課稅級距=課稅所得</t>
    <phoneticPr fontId="3" type="noConversion"/>
  </si>
  <si>
    <t>一個月佣收+代管費10%/月</t>
    <phoneticPr fontId="3" type="noConversion"/>
  </si>
  <si>
    <t>0-10000</t>
    <phoneticPr fontId="3" type="noConversion"/>
  </si>
  <si>
    <t>20001↑</t>
    <phoneticPr fontId="3" type="noConversion"/>
  </si>
  <si>
    <t>租金12*43%-(A)-(B)</t>
    <phoneticPr fontId="3" type="noConversion"/>
  </si>
  <si>
    <t>包租租金70%</t>
    <phoneticPr fontId="3" type="noConversion"/>
  </si>
  <si>
    <t>租金*12                               - (租金--6000*12*53%)          - (租金-20000*12*60%)        - (A)-(B)</t>
    <phoneticPr fontId="3" type="noConversion"/>
  </si>
  <si>
    <t>租金*70%*12                      - (租金--6000*12*53%)          - (租金-20000*12*60%)          - (A)-(B)</t>
    <phoneticPr fontId="3" type="noConversion"/>
  </si>
  <si>
    <t>租金*12                               -(租金-15000*12*60%)         - (A)-(B)</t>
    <phoneticPr fontId="3" type="noConversion"/>
  </si>
  <si>
    <t>租金*0.9*12-                        - (租金*0.9-15000*12*60%)                - (A)-(B)</t>
    <phoneticPr fontId="3" type="noConversion"/>
  </si>
  <si>
    <t>租金*0.8*12-                       - (租金*0.8-15000*12*60%)                - (A)-(B)</t>
    <phoneticPr fontId="3" type="noConversion"/>
  </si>
  <si>
    <t>15001↑</t>
    <phoneticPr fontId="3" type="noConversion"/>
  </si>
  <si>
    <t>15001↑</t>
    <phoneticPr fontId="3" type="noConversion"/>
  </si>
  <si>
    <t>􏿿</t>
  </si>
  <si>
    <t>請輸入黃色區塊，來進行試算！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</si>
</sst>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#,##0_ &quot;元/年&quot;"/>
  </numFmts>
  <fonts count="2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sz val="10"/>
      <color rgb="FFFF0000"/>
      <name val="新細明體"/>
      <family val="2"/>
      <charset val="136"/>
      <scheme val="minor"/>
    </font>
    <font>
      <sz val="10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</font>
    <font>
      <b/>
      <sz val="11"/>
      <color rgb="FF7030A0"/>
      <name val="新細明體"/>
      <family val="1"/>
      <charset val="136"/>
      <scheme val="minor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 tint="-0.499984740745262"/>
      <name val="Arial"/>
      <family val="2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rgb="FF0000FF"/>
      <name val="Arial"/>
      <family val="2"/>
    </font>
    <font>
      <sz val="12"/>
      <color rgb="FFFF0000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sz val="12"/>
      <color rgb="FFFF0000"/>
      <name val="新細明體"/>
      <family val="2"/>
      <charset val="136"/>
      <scheme val="minor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7" fontId="2" fillId="0" borderId="0" xfId="1" applyNumberFormat="1" applyFont="1">
      <alignment vertical="center"/>
    </xf>
    <xf numFmtId="176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9" fontId="0" fillId="0" borderId="0" xfId="0" applyNumberFormat="1">
      <alignment vertical="center"/>
    </xf>
    <xf numFmtId="9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2" borderId="4" xfId="0" applyFont="1" applyFill="1" applyBorder="1" applyAlignment="1">
      <alignment horizontal="center" vertical="center"/>
    </xf>
    <xf numFmtId="176" fontId="14" fillId="0" borderId="0" xfId="0" applyNumberFormat="1" applyFont="1">
      <alignment vertical="center"/>
    </xf>
    <xf numFmtId="176" fontId="15" fillId="0" borderId="4" xfId="0" applyNumberFormat="1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14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right" vertical="center"/>
    </xf>
    <xf numFmtId="9" fontId="4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9" fontId="0" fillId="0" borderId="0" xfId="0" applyNumberFormat="1" applyFill="1">
      <alignment vertical="center"/>
    </xf>
    <xf numFmtId="9" fontId="9" fillId="0" borderId="0" xfId="0" applyNumberFormat="1" applyFont="1" applyFill="1">
      <alignment vertical="center"/>
    </xf>
    <xf numFmtId="176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0" fillId="0" borderId="0" xfId="0" applyFont="1">
      <alignment vertical="center"/>
    </xf>
    <xf numFmtId="9" fontId="20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5" xfId="0" applyFill="1" applyBorder="1">
      <alignment vertical="center"/>
    </xf>
    <xf numFmtId="176" fontId="15" fillId="0" borderId="5" xfId="0" applyNumberFormat="1" applyFont="1" applyFill="1" applyBorder="1">
      <alignment vertical="center"/>
    </xf>
    <xf numFmtId="9" fontId="13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6" fontId="15" fillId="0" borderId="6" xfId="0" applyNumberFormat="1" applyFont="1" applyFill="1" applyBorder="1">
      <alignment vertical="center"/>
    </xf>
    <xf numFmtId="176" fontId="14" fillId="0" borderId="6" xfId="0" applyNumberFormat="1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9" fontId="13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9" fontId="17" fillId="0" borderId="6" xfId="0" applyNumberFormat="1" applyFont="1" applyFill="1" applyBorder="1">
      <alignment vertical="center"/>
    </xf>
    <xf numFmtId="178" fontId="15" fillId="0" borderId="6" xfId="0" applyNumberFormat="1" applyFont="1" applyFill="1" applyBorder="1">
      <alignment vertical="center"/>
    </xf>
    <xf numFmtId="176" fontId="15" fillId="0" borderId="8" xfId="0" applyNumberFormat="1" applyFont="1" applyFill="1" applyBorder="1" applyAlignment="1">
      <alignment vertical="center"/>
    </xf>
    <xf numFmtId="0" fontId="0" fillId="0" borderId="8" xfId="0" applyFill="1" applyBorder="1">
      <alignment vertical="center"/>
    </xf>
    <xf numFmtId="9" fontId="13" fillId="0" borderId="8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vertical="center"/>
    </xf>
    <xf numFmtId="176" fontId="15" fillId="0" borderId="12" xfId="0" applyNumberFormat="1" applyFont="1" applyFill="1" applyBorder="1" applyAlignment="1">
      <alignment vertical="center"/>
    </xf>
    <xf numFmtId="9" fontId="13" fillId="0" borderId="7" xfId="0" applyNumberFormat="1" applyFont="1" applyFill="1" applyBorder="1" applyAlignment="1">
      <alignment horizontal="center" vertical="center"/>
    </xf>
    <xf numFmtId="9" fontId="13" fillId="0" borderId="10" xfId="0" applyNumberFormat="1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9" fontId="13" fillId="0" borderId="12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>
      <alignment vertical="center"/>
    </xf>
    <xf numFmtId="0" fontId="16" fillId="0" borderId="12" xfId="0" applyFont="1" applyFill="1" applyBorder="1" applyAlignment="1">
      <alignment horizontal="center" vertical="center"/>
    </xf>
    <xf numFmtId="9" fontId="16" fillId="0" borderId="6" xfId="0" applyNumberFormat="1" applyFont="1" applyFill="1" applyBorder="1" applyAlignment="1">
      <alignment horizontal="center" vertical="center"/>
    </xf>
    <xf numFmtId="176" fontId="15" fillId="0" borderId="8" xfId="0" applyNumberFormat="1" applyFont="1" applyFill="1" applyBorder="1">
      <alignment vertical="center"/>
    </xf>
    <xf numFmtId="9" fontId="16" fillId="0" borderId="8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>
      <alignment vertical="center"/>
    </xf>
    <xf numFmtId="9" fontId="16" fillId="0" borderId="7" xfId="0" applyNumberFormat="1" applyFont="1" applyFill="1" applyBorder="1" applyAlignment="1">
      <alignment horizontal="center" vertical="center"/>
    </xf>
    <xf numFmtId="178" fontId="15" fillId="0" borderId="8" xfId="0" applyNumberFormat="1" applyFont="1" applyFill="1" applyBorder="1">
      <alignment vertical="center"/>
    </xf>
    <xf numFmtId="178" fontId="15" fillId="0" borderId="7" xfId="0" applyNumberFormat="1" applyFont="1" applyFill="1" applyBorder="1">
      <alignment vertical="center"/>
    </xf>
    <xf numFmtId="178" fontId="15" fillId="0" borderId="5" xfId="0" applyNumberFormat="1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/>
    </xf>
    <xf numFmtId="9" fontId="16" fillId="0" borderId="8" xfId="0" applyNumberFormat="1" applyFont="1" applyFill="1" applyBorder="1" applyAlignment="1">
      <alignment horizontal="center" vertical="center"/>
    </xf>
    <xf numFmtId="9" fontId="16" fillId="0" borderId="10" xfId="0" applyNumberFormat="1" applyFont="1" applyFill="1" applyBorder="1" applyAlignment="1">
      <alignment horizontal="center" vertical="center"/>
    </xf>
    <xf numFmtId="9" fontId="16" fillId="0" borderId="12" xfId="0" applyNumberFormat="1" applyFont="1" applyFill="1" applyBorder="1" applyAlignment="1">
      <alignment horizontal="center" vertical="center"/>
    </xf>
    <xf numFmtId="176" fontId="21" fillId="0" borderId="8" xfId="0" applyNumberFormat="1" applyFont="1" applyFill="1" applyBorder="1" applyAlignment="1">
      <alignment horizontal="center" vertical="center" wrapText="1"/>
    </xf>
    <xf numFmtId="176" fontId="15" fillId="0" borderId="10" xfId="0" applyNumberFormat="1" applyFont="1" applyFill="1" applyBorder="1" applyAlignment="1">
      <alignment horizontal="center" vertical="center" wrapText="1"/>
    </xf>
    <xf numFmtId="176" fontId="15" fillId="0" borderId="11" xfId="0" applyNumberFormat="1" applyFont="1" applyFill="1" applyBorder="1" applyAlignment="1">
      <alignment horizontal="center" vertical="center" wrapText="1"/>
    </xf>
    <xf numFmtId="9" fontId="16" fillId="0" borderId="11" xfId="0" applyNumberFormat="1" applyFont="1" applyFill="1" applyBorder="1" applyAlignment="1">
      <alignment horizontal="center" vertical="center"/>
    </xf>
    <xf numFmtId="176" fontId="15" fillId="0" borderId="11" xfId="0" applyNumberFormat="1" applyFont="1" applyFill="1" applyBorder="1" applyAlignment="1">
      <alignment horizontal="center" vertical="center"/>
    </xf>
    <xf numFmtId="9" fontId="17" fillId="0" borderId="8" xfId="0" applyNumberFormat="1" applyFont="1" applyFill="1" applyBorder="1" applyAlignment="1">
      <alignment horizontal="center" vertical="center"/>
    </xf>
    <xf numFmtId="9" fontId="17" fillId="0" borderId="10" xfId="0" applyNumberFormat="1" applyFont="1" applyFill="1" applyBorder="1" applyAlignment="1">
      <alignment horizontal="center" vertical="center"/>
    </xf>
    <xf numFmtId="9" fontId="17" fillId="0" borderId="11" xfId="0" applyNumberFormat="1" applyFont="1" applyFill="1" applyBorder="1" applyAlignment="1">
      <alignment horizontal="center" vertical="center"/>
    </xf>
    <xf numFmtId="9" fontId="17" fillId="0" borderId="12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left" vertical="center" wrapText="1"/>
    </xf>
    <xf numFmtId="176" fontId="8" fillId="0" borderId="10" xfId="0" applyNumberFormat="1" applyFont="1" applyFill="1" applyBorder="1" applyAlignment="1">
      <alignment horizontal="left" vertical="center" wrapText="1"/>
    </xf>
    <xf numFmtId="176" fontId="15" fillId="0" borderId="9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left" vertical="center" wrapText="1"/>
    </xf>
    <xf numFmtId="176" fontId="8" fillId="0" borderId="11" xfId="0" applyNumberFormat="1" applyFont="1" applyFill="1" applyBorder="1" applyAlignment="1">
      <alignment horizontal="left" vertical="center" wrapText="1"/>
    </xf>
    <xf numFmtId="176" fontId="8" fillId="0" borderId="12" xfId="0" applyNumberFormat="1" applyFont="1" applyFill="1" applyBorder="1" applyAlignment="1">
      <alignment horizontal="left" vertical="center" wrapText="1"/>
    </xf>
    <xf numFmtId="10" fontId="19" fillId="0" borderId="8" xfId="0" applyNumberFormat="1" applyFont="1" applyFill="1" applyBorder="1" applyAlignment="1">
      <alignment horizontal="center" vertical="center"/>
    </xf>
    <xf numFmtId="10" fontId="19" fillId="0" borderId="11" xfId="0" applyNumberFormat="1" applyFont="1" applyFill="1" applyBorder="1" applyAlignment="1">
      <alignment horizontal="center" vertical="center"/>
    </xf>
    <xf numFmtId="10" fontId="19" fillId="0" borderId="10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left" vertical="center"/>
    </xf>
    <xf numFmtId="176" fontId="8" fillId="0" borderId="11" xfId="0" applyNumberFormat="1" applyFont="1" applyFill="1" applyBorder="1" applyAlignment="1">
      <alignment horizontal="left" vertical="center"/>
    </xf>
    <xf numFmtId="10" fontId="19" fillId="0" borderId="12" xfId="0" applyNumberFormat="1" applyFont="1" applyFill="1" applyBorder="1" applyAlignment="1">
      <alignment horizontal="center" vertical="center"/>
    </xf>
    <xf numFmtId="10" fontId="19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9" fontId="17" fillId="0" borderId="9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2" fillId="0" borderId="0" xfId="0" applyFont="1">
      <alignment vertical="center"/>
    </xf>
    <xf numFmtId="0" fontId="2" fillId="3" borderId="13" xfId="0" applyFont="1" applyFill="1" applyBorder="1" applyAlignment="1">
      <alignment horizontal="center" vertical="center"/>
    </xf>
    <xf numFmtId="176" fontId="14" fillId="3" borderId="13" xfId="0" applyNumberFormat="1" applyFont="1" applyFill="1" applyBorder="1">
      <alignment vertical="center"/>
    </xf>
    <xf numFmtId="9" fontId="4" fillId="3" borderId="13" xfId="0" applyNumberFormat="1" applyFont="1" applyFill="1" applyBorder="1" applyAlignment="1">
      <alignment horizontal="center" vertical="center"/>
    </xf>
    <xf numFmtId="9" fontId="17" fillId="0" borderId="14" xfId="0" applyNumberFormat="1" applyFont="1" applyFill="1" applyBorder="1">
      <alignment vertical="center"/>
    </xf>
    <xf numFmtId="0" fontId="10" fillId="2" borderId="15" xfId="0" applyFont="1" applyFill="1" applyBorder="1" applyAlignment="1">
      <alignment horizontal="center" vertical="center"/>
    </xf>
    <xf numFmtId="9" fontId="19" fillId="0" borderId="12" xfId="0" applyNumberFormat="1" applyFont="1" applyFill="1" applyBorder="1" applyAlignment="1">
      <alignment horizontal="center" vertical="center"/>
    </xf>
    <xf numFmtId="9" fontId="18" fillId="3" borderId="13" xfId="0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workbookViewId="0">
      <selection activeCell="K33" sqref="K33"/>
    </sheetView>
  </sheetViews>
  <sheetFormatPr defaultRowHeight="16.5" x14ac:dyDescent="0.25"/>
  <cols>
    <col min="1" max="1" width="2.625" customWidth="1"/>
    <col min="2" max="2" width="9.25" customWidth="1"/>
    <col min="3" max="3" width="10.5" customWidth="1"/>
    <col min="4" max="4" width="13.875" customWidth="1"/>
    <col min="5" max="5" width="16.625" customWidth="1"/>
    <col min="6" max="6" width="8.875" customWidth="1"/>
    <col min="7" max="7" width="10.625" customWidth="1"/>
    <col min="8" max="8" width="7.625" customWidth="1"/>
    <col min="9" max="13" width="11.125" customWidth="1"/>
    <col min="14" max="14" width="17" customWidth="1"/>
    <col min="15" max="15" width="13.75" customWidth="1"/>
    <col min="16" max="16" width="8.625" style="10" customWidth="1"/>
    <col min="17" max="17" width="12" style="11" customWidth="1"/>
  </cols>
  <sheetData>
    <row r="1" spans="1:17" ht="17.25" thickBot="1" x14ac:dyDescent="0.3">
      <c r="A1" s="116" t="s">
        <v>48</v>
      </c>
      <c r="B1" s="117" t="s">
        <v>49</v>
      </c>
    </row>
    <row r="2" spans="1:17" ht="24.95" customHeight="1" thickBot="1" x14ac:dyDescent="0.3">
      <c r="A2" s="1"/>
      <c r="B2" s="2" t="s">
        <v>0</v>
      </c>
      <c r="C2" s="118">
        <v>1</v>
      </c>
      <c r="D2" s="3" t="s">
        <v>1</v>
      </c>
      <c r="E2" s="119">
        <v>15000</v>
      </c>
      <c r="F2" s="1" t="s">
        <v>2</v>
      </c>
      <c r="G2" s="1"/>
      <c r="H2" s="1"/>
      <c r="I2" s="1"/>
      <c r="J2" s="1"/>
      <c r="K2" s="1"/>
      <c r="M2" s="4" t="s">
        <v>3</v>
      </c>
      <c r="N2" s="120">
        <v>0.35</v>
      </c>
      <c r="O2" s="5" t="s">
        <v>4</v>
      </c>
    </row>
    <row r="3" spans="1:17" s="23" customFormat="1" ht="9.9499999999999993" customHeight="1" x14ac:dyDescent="0.25">
      <c r="A3" s="19"/>
      <c r="B3" s="20"/>
      <c r="C3" s="21"/>
      <c r="D3" s="21"/>
      <c r="E3" s="22"/>
      <c r="F3" s="19"/>
      <c r="G3" s="19"/>
      <c r="H3" s="19"/>
      <c r="I3" s="19"/>
      <c r="J3" s="19"/>
      <c r="K3" s="19"/>
      <c r="M3" s="24"/>
      <c r="N3" s="25"/>
      <c r="O3" s="26"/>
      <c r="P3" s="27"/>
      <c r="Q3" s="28"/>
    </row>
    <row r="4" spans="1:17" ht="20.100000000000001" customHeight="1" x14ac:dyDescent="0.25">
      <c r="A4" s="1"/>
      <c r="B4" s="1"/>
      <c r="C4" s="1"/>
      <c r="D4" s="2" t="s">
        <v>5</v>
      </c>
      <c r="E4" s="16">
        <v>6000</v>
      </c>
      <c r="F4" s="6"/>
      <c r="G4" s="1"/>
      <c r="H4" s="1"/>
      <c r="I4" s="1"/>
      <c r="J4" s="1"/>
      <c r="K4" s="1"/>
      <c r="L4" s="1"/>
      <c r="M4" s="1"/>
      <c r="N4" s="1"/>
      <c r="O4" s="1"/>
    </row>
    <row r="5" spans="1:17" ht="20.100000000000001" customHeight="1" x14ac:dyDescent="0.25">
      <c r="A5" s="1"/>
      <c r="B5" s="1"/>
      <c r="C5" s="1"/>
      <c r="D5" s="2"/>
      <c r="E5" s="16"/>
      <c r="F5" s="6"/>
      <c r="G5" s="33"/>
      <c r="H5" s="1"/>
      <c r="I5" s="1"/>
      <c r="J5" s="1"/>
      <c r="K5" s="1"/>
      <c r="L5" s="1"/>
      <c r="M5" s="1"/>
      <c r="N5" s="1"/>
      <c r="O5" s="1"/>
    </row>
    <row r="6" spans="1:17" ht="20.100000000000001" customHeight="1" x14ac:dyDescent="0.25">
      <c r="D6" s="2" t="s">
        <v>6</v>
      </c>
      <c r="E6" s="16">
        <v>15000</v>
      </c>
    </row>
    <row r="7" spans="1:17" ht="20.100000000000001" customHeight="1" x14ac:dyDescent="0.25">
      <c r="E7" s="7"/>
    </row>
    <row r="8" spans="1:17" ht="24.95" customHeight="1" x14ac:dyDescent="0.25">
      <c r="B8" s="8"/>
      <c r="C8" s="9" t="s">
        <v>9</v>
      </c>
      <c r="D8" s="8"/>
      <c r="E8" s="17">
        <v>0</v>
      </c>
      <c r="F8" s="18"/>
      <c r="G8" s="17">
        <v>0</v>
      </c>
      <c r="H8" s="18"/>
      <c r="I8" s="17">
        <v>0</v>
      </c>
      <c r="J8" s="17"/>
      <c r="K8" s="17"/>
      <c r="L8" s="17">
        <v>0</v>
      </c>
      <c r="M8" s="17">
        <f>$C$2*E$2*12-G8-L8</f>
        <v>180000</v>
      </c>
      <c r="N8" s="29" t="s">
        <v>20</v>
      </c>
      <c r="O8" s="30" t="s">
        <v>10</v>
      </c>
    </row>
    <row r="9" spans="1:17" s="14" customFormat="1" ht="30" customHeight="1" thickBot="1" x14ac:dyDescent="0.3">
      <c r="A9" s="12"/>
      <c r="B9" s="67"/>
      <c r="C9" s="69"/>
      <c r="D9" s="68"/>
      <c r="E9" s="70" t="s">
        <v>14</v>
      </c>
      <c r="F9" s="71"/>
      <c r="G9" s="71" t="s">
        <v>21</v>
      </c>
      <c r="H9" s="71"/>
      <c r="I9" s="67" t="s">
        <v>35</v>
      </c>
      <c r="J9" s="69"/>
      <c r="K9" s="68"/>
      <c r="L9" s="13" t="s">
        <v>22</v>
      </c>
      <c r="M9" s="13" t="s">
        <v>7</v>
      </c>
      <c r="N9" s="15" t="s">
        <v>16</v>
      </c>
      <c r="O9" s="15" t="s">
        <v>8</v>
      </c>
      <c r="P9" s="67" t="s">
        <v>23</v>
      </c>
      <c r="Q9" s="122"/>
    </row>
    <row r="10" spans="1:17" s="23" customFormat="1" ht="24.95" customHeight="1" thickBot="1" x14ac:dyDescent="0.3">
      <c r="B10" s="34"/>
      <c r="C10" s="35" t="s">
        <v>11</v>
      </c>
      <c r="D10" s="35"/>
      <c r="E10" s="66">
        <f>$C$2*$E$2*F10*12</f>
        <v>77400</v>
      </c>
      <c r="F10" s="37">
        <v>0.43</v>
      </c>
      <c r="G10" s="36">
        <v>0</v>
      </c>
      <c r="H10" s="38"/>
      <c r="I10" s="39">
        <f>$C$2*$E$2*12</f>
        <v>180000</v>
      </c>
      <c r="J10" s="39">
        <f>$C$2*$E$2*12*43%</f>
        <v>77400</v>
      </c>
      <c r="K10" s="39">
        <f>I10-J10</f>
        <v>102600</v>
      </c>
      <c r="L10" s="39">
        <f>IF(K10&gt;0,K10*$N$2,0)</f>
        <v>35910</v>
      </c>
      <c r="M10" s="40">
        <f>I10-L10</f>
        <v>144090</v>
      </c>
      <c r="N10" s="107" t="s">
        <v>39</v>
      </c>
      <c r="O10" s="41"/>
      <c r="P10" s="121"/>
      <c r="Q10" s="124">
        <v>0.75</v>
      </c>
    </row>
    <row r="11" spans="1:17" s="23" customFormat="1" ht="45.75" customHeight="1" x14ac:dyDescent="0.25">
      <c r="B11" s="34" t="s">
        <v>29</v>
      </c>
      <c r="C11" s="42" t="s">
        <v>25</v>
      </c>
      <c r="D11" s="42"/>
      <c r="E11" s="47">
        <f>$C$2*$E$2*F11*12</f>
        <v>77400</v>
      </c>
      <c r="F11" s="43">
        <v>0.43</v>
      </c>
      <c r="G11" s="39">
        <f>$C$2*$E$2*H11</f>
        <v>15000</v>
      </c>
      <c r="H11" s="44">
        <v>1</v>
      </c>
      <c r="I11" s="39">
        <f>$C$2*$E$2*12</f>
        <v>180000</v>
      </c>
      <c r="J11" s="39">
        <f>$C$2*$E$2*12*43%</f>
        <v>77400</v>
      </c>
      <c r="K11" s="39">
        <f>I11-J11</f>
        <v>102600</v>
      </c>
      <c r="L11" s="39">
        <f>IF(K11&gt;0,K11*$N$2,0)</f>
        <v>35910</v>
      </c>
      <c r="M11" s="39">
        <f>$C$2*$E$2*12-G11-L11</f>
        <v>129090</v>
      </c>
      <c r="N11" s="108"/>
      <c r="O11" s="45" t="s">
        <v>15</v>
      </c>
      <c r="P11" s="46"/>
      <c r="Q11" s="123"/>
    </row>
    <row r="12" spans="1:17" s="23" customFormat="1" ht="24.95" customHeight="1" x14ac:dyDescent="0.25">
      <c r="B12" s="72" t="s">
        <v>28</v>
      </c>
      <c r="C12" s="75" t="s">
        <v>12</v>
      </c>
      <c r="D12" s="42" t="s">
        <v>33</v>
      </c>
      <c r="E12" s="47">
        <f>IF(C2*E2&lt;=6000*C2,C2*E2,6000*C2)*12*F12</f>
        <v>72000</v>
      </c>
      <c r="F12" s="43">
        <v>1</v>
      </c>
      <c r="G12" s="77">
        <f>$C$2*$E$2*12*10%+$C$2*$E$2</f>
        <v>33000</v>
      </c>
      <c r="H12" s="80">
        <v>0.1</v>
      </c>
      <c r="I12" s="77">
        <f>$C$2*$E$2*12</f>
        <v>180000</v>
      </c>
      <c r="J12" s="48">
        <f>IF(C2*E2&lt;=6000*C2,E2*C2,6000*C2)*12</f>
        <v>72000</v>
      </c>
      <c r="K12" s="77">
        <f>I12-J12-J13-J14</f>
        <v>50760</v>
      </c>
      <c r="L12" s="77">
        <f>IF(K12&gt;0,K12*$N$2,0)</f>
        <v>17766</v>
      </c>
      <c r="M12" s="77">
        <f>$C$2*$E$2*12-G12-L12</f>
        <v>129234</v>
      </c>
      <c r="N12" s="98" t="s">
        <v>41</v>
      </c>
      <c r="O12" s="92" t="s">
        <v>36</v>
      </c>
      <c r="P12" s="88">
        <f>M12/M10</f>
        <v>0.89689777222569222</v>
      </c>
      <c r="Q12" s="104">
        <f>P12/Q10</f>
        <v>1.195863696300923</v>
      </c>
    </row>
    <row r="13" spans="1:17" s="23" customFormat="1" ht="24.95" customHeight="1" x14ac:dyDescent="0.25">
      <c r="B13" s="73"/>
      <c r="C13" s="73"/>
      <c r="D13" s="49" t="s">
        <v>34</v>
      </c>
      <c r="E13" s="47">
        <f>IF(C2*E2&gt;20000*C2,20000*C2-6000*C2,IF(C2*E2&lt;=6000*C2,0,C2*E2-6000*C2))*12*F13</f>
        <v>57240</v>
      </c>
      <c r="F13" s="50">
        <v>0.53</v>
      </c>
      <c r="G13" s="78"/>
      <c r="H13" s="81"/>
      <c r="I13" s="78"/>
      <c r="J13" s="51">
        <f>IF(C2*E2&gt;20000*C2,20000*C2-6000*C2,IF(C2*E2&lt;=6000*C2,0,E2*C2-6000*C2))*12*F13</f>
        <v>57240</v>
      </c>
      <c r="K13" s="78"/>
      <c r="L13" s="78"/>
      <c r="M13" s="78"/>
      <c r="N13" s="99"/>
      <c r="O13" s="93"/>
      <c r="P13" s="89"/>
      <c r="Q13" s="106"/>
    </row>
    <row r="14" spans="1:17" s="23" customFormat="1" ht="24.75" customHeight="1" x14ac:dyDescent="0.25">
      <c r="B14" s="73"/>
      <c r="C14" s="76"/>
      <c r="D14" s="49" t="s">
        <v>38</v>
      </c>
      <c r="E14" s="47">
        <f>IF(C2*E2&gt;20000*C2,C2*E2-20000*C2,0)*12*F14</f>
        <v>0</v>
      </c>
      <c r="F14" s="50">
        <v>0.43</v>
      </c>
      <c r="G14" s="79"/>
      <c r="H14" s="82"/>
      <c r="I14" s="79"/>
      <c r="J14" s="52">
        <f>IF(C2*E2&gt;20000*C2,E2*C2-20000*C2,0)*12*F14</f>
        <v>0</v>
      </c>
      <c r="K14" s="79"/>
      <c r="L14" s="79"/>
      <c r="M14" s="79"/>
      <c r="N14" s="99"/>
      <c r="O14" s="94"/>
      <c r="P14" s="91"/>
      <c r="Q14" s="109"/>
    </row>
    <row r="15" spans="1:17" s="23" customFormat="1" ht="24.95" customHeight="1" x14ac:dyDescent="0.25">
      <c r="B15" s="73"/>
      <c r="C15" s="75" t="s">
        <v>13</v>
      </c>
      <c r="D15" s="42" t="s">
        <v>30</v>
      </c>
      <c r="E15" s="47">
        <f>IF(C2*E2*0.7&lt;=6000*C2,C2*E2*0.7,6000*C2)*12*F15</f>
        <v>72000</v>
      </c>
      <c r="F15" s="53">
        <v>1</v>
      </c>
      <c r="G15" s="83" t="s">
        <v>40</v>
      </c>
      <c r="H15" s="80">
        <v>0.7</v>
      </c>
      <c r="I15" s="77">
        <f>$C$2*0.7*$E$2*12</f>
        <v>126000</v>
      </c>
      <c r="J15" s="48">
        <f>IF(C2*0.7*E2&lt;=6000*C2,E2*C2*0.7,6000*C2)*12</f>
        <v>72000</v>
      </c>
      <c r="K15" s="77">
        <f>I15-J15-J16-J17</f>
        <v>25380</v>
      </c>
      <c r="L15" s="77">
        <f>IF(K15&gt;0,K15*$N$2,0)</f>
        <v>8883</v>
      </c>
      <c r="M15" s="77">
        <f>I15-L15</f>
        <v>117117</v>
      </c>
      <c r="N15" s="98" t="s">
        <v>42</v>
      </c>
      <c r="O15" s="95" t="s">
        <v>19</v>
      </c>
      <c r="P15" s="88">
        <f>M15/M10</f>
        <v>0.81280449718925674</v>
      </c>
      <c r="Q15" s="104">
        <f>P15/Q10</f>
        <v>1.0837393295856756</v>
      </c>
    </row>
    <row r="16" spans="1:17" s="23" customFormat="1" ht="24.95" customHeight="1" x14ac:dyDescent="0.25">
      <c r="B16" s="73"/>
      <c r="C16" s="73"/>
      <c r="D16" s="49" t="s">
        <v>31</v>
      </c>
      <c r="E16" s="47">
        <f>IF(C2*0.7*E2&gt;20000*C2,20000*C2-6000*C2,IF(C2*0.7*E2&lt;=6000*C2,0,C2*0.7*E2-6000*C2))*12*F16</f>
        <v>28620</v>
      </c>
      <c r="F16" s="54">
        <v>0.53</v>
      </c>
      <c r="G16" s="84"/>
      <c r="H16" s="81"/>
      <c r="I16" s="78"/>
      <c r="J16" s="51">
        <f>IF(C2*0.7*E2&gt;20000*C2,20000*C2-6000*C2,IF(C2*0.7*E2&lt;=6000*C2,0,E2*0.7*C2-6000*C2))*12*F16</f>
        <v>28620</v>
      </c>
      <c r="K16" s="78"/>
      <c r="L16" s="78"/>
      <c r="M16" s="78"/>
      <c r="N16" s="99"/>
      <c r="O16" s="96"/>
      <c r="P16" s="89"/>
      <c r="Q16" s="106"/>
    </row>
    <row r="17" spans="2:17" s="23" customFormat="1" ht="24.95" customHeight="1" x14ac:dyDescent="0.25">
      <c r="B17" s="74"/>
      <c r="C17" s="74"/>
      <c r="D17" s="49" t="s">
        <v>32</v>
      </c>
      <c r="E17" s="47">
        <f>IF(C2*0.7*E2&gt;20000*C2,C2*0.7*E2-20000*C2,0)*12*F17</f>
        <v>0</v>
      </c>
      <c r="F17" s="54">
        <v>0.43</v>
      </c>
      <c r="G17" s="85"/>
      <c r="H17" s="86"/>
      <c r="I17" s="87"/>
      <c r="J17" s="52">
        <f>IF(C2*0.7*E2&gt;20000*C2,E2*0.7*C2-20000*C2,0)*12*F14</f>
        <v>0</v>
      </c>
      <c r="K17" s="87"/>
      <c r="L17" s="87"/>
      <c r="M17" s="87"/>
      <c r="N17" s="99"/>
      <c r="O17" s="97"/>
      <c r="P17" s="90"/>
      <c r="Q17" s="105"/>
    </row>
    <row r="18" spans="2:17" s="23" customFormat="1" ht="27.75" customHeight="1" x14ac:dyDescent="0.25">
      <c r="B18" s="72" t="s">
        <v>26</v>
      </c>
      <c r="C18" s="72" t="s">
        <v>11</v>
      </c>
      <c r="D18" s="42" t="s">
        <v>37</v>
      </c>
      <c r="E18" s="47">
        <f>IF(C2*E2&lt;=15000*C2,C2*E2,15000*C2)*12*F18</f>
        <v>180000</v>
      </c>
      <c r="F18" s="37">
        <v>1</v>
      </c>
      <c r="G18" s="36">
        <v>0</v>
      </c>
      <c r="H18" s="38"/>
      <c r="I18" s="100">
        <f>$C$2*$E$2*12</f>
        <v>180000</v>
      </c>
      <c r="J18" s="36">
        <f>IF(C2*E2&lt;=15000*C2,E2*C2,15000*C2)*12</f>
        <v>180000</v>
      </c>
      <c r="K18" s="100">
        <f>I18-J18-J19</f>
        <v>0</v>
      </c>
      <c r="L18" s="100">
        <f>IF(K18&gt;0,K18*$N$2,0)</f>
        <v>0</v>
      </c>
      <c r="M18" s="100">
        <f>$C$2*$E$2*90%*12-G18-G19-L18</f>
        <v>162000</v>
      </c>
      <c r="N18" s="98" t="s">
        <v>43</v>
      </c>
      <c r="O18" s="111"/>
      <c r="P18" s="113">
        <f>M18/M10</f>
        <v>1.1242973141786383</v>
      </c>
      <c r="Q18" s="110">
        <f>P18/Q10</f>
        <v>1.4990630855715177</v>
      </c>
    </row>
    <row r="19" spans="2:17" s="23" customFormat="1" ht="27.75" customHeight="1" x14ac:dyDescent="0.25">
      <c r="B19" s="74"/>
      <c r="C19" s="76"/>
      <c r="D19" s="55" t="s">
        <v>46</v>
      </c>
      <c r="E19" s="47">
        <f>IF(C2*E2&gt;15000*C2,C2*E2-15000*C2,0)*12*F19</f>
        <v>0</v>
      </c>
      <c r="F19" s="56">
        <v>0.6</v>
      </c>
      <c r="G19" s="57">
        <v>0</v>
      </c>
      <c r="H19" s="58"/>
      <c r="I19" s="79"/>
      <c r="J19" s="57">
        <f>IF(C2*E2&gt;15000*C2,E2*C2-15000*C2,0)*12*F19</f>
        <v>0</v>
      </c>
      <c r="K19" s="79"/>
      <c r="L19" s="79"/>
      <c r="M19" s="79"/>
      <c r="N19" s="103"/>
      <c r="O19" s="112"/>
      <c r="P19" s="91"/>
      <c r="Q19" s="109"/>
    </row>
    <row r="20" spans="2:17" s="23" customFormat="1" ht="27.75" customHeight="1" x14ac:dyDescent="0.25">
      <c r="B20" s="72" t="s">
        <v>27</v>
      </c>
      <c r="C20" s="75" t="s">
        <v>12</v>
      </c>
      <c r="D20" s="42" t="s">
        <v>37</v>
      </c>
      <c r="E20" s="47">
        <f>IF(C2*E2*0.9&lt;=15000*C2,C2*E2*0.9,15000*C2)*12*F18</f>
        <v>162000</v>
      </c>
      <c r="F20" s="43">
        <v>1</v>
      </c>
      <c r="G20" s="39">
        <v>0</v>
      </c>
      <c r="H20" s="59"/>
      <c r="I20" s="77">
        <f>$C$2*$E$2*90%*12</f>
        <v>162000</v>
      </c>
      <c r="J20" s="39">
        <f>IF(C2*E2*0.9&lt;=15000*C2,E2*C2*0.9,15000*C2)*12</f>
        <v>162000</v>
      </c>
      <c r="K20" s="77">
        <f>I20-J20-J21</f>
        <v>0</v>
      </c>
      <c r="L20" s="77">
        <f>IF(K20&gt;0,K20*$N$2,0)</f>
        <v>0</v>
      </c>
      <c r="M20" s="77">
        <f>$C$2*$E$2*90%*12-G20-G21-L20</f>
        <v>162000</v>
      </c>
      <c r="N20" s="101" t="s">
        <v>44</v>
      </c>
      <c r="O20" s="114" t="s">
        <v>17</v>
      </c>
      <c r="P20" s="88">
        <f>M20/M10</f>
        <v>1.1242973141786383</v>
      </c>
      <c r="Q20" s="104">
        <f>P20/Q10</f>
        <v>1.4990630855715177</v>
      </c>
    </row>
    <row r="21" spans="2:17" s="23" customFormat="1" ht="27.75" customHeight="1" x14ac:dyDescent="0.25">
      <c r="B21" s="73"/>
      <c r="C21" s="76"/>
      <c r="D21" s="55" t="s">
        <v>47</v>
      </c>
      <c r="E21" s="64">
        <f>IF(C2*E2*0.9&gt;15000*C2,C2*E2*0.9-15000*C2,0)*12*F21</f>
        <v>0</v>
      </c>
      <c r="F21" s="50">
        <v>0.6</v>
      </c>
      <c r="G21" s="60">
        <v>0</v>
      </c>
      <c r="H21" s="61"/>
      <c r="I21" s="79"/>
      <c r="J21" s="60">
        <f>IF(C2*E2*0.9&gt;15000*C2,C2*E2*0.9-15000*C2,0)*12*F21</f>
        <v>0</v>
      </c>
      <c r="K21" s="79"/>
      <c r="L21" s="79"/>
      <c r="M21" s="79"/>
      <c r="N21" s="103"/>
      <c r="O21" s="115"/>
      <c r="P21" s="91"/>
      <c r="Q21" s="109"/>
    </row>
    <row r="22" spans="2:17" s="23" customFormat="1" ht="27.75" customHeight="1" x14ac:dyDescent="0.25">
      <c r="B22" s="73"/>
      <c r="C22" s="75" t="s">
        <v>13</v>
      </c>
      <c r="D22" s="42" t="s">
        <v>37</v>
      </c>
      <c r="E22" s="65">
        <f>IF(C2*E2*0.8&lt;=15000*C2,C2*E2*0.8,15000*C2)*12*F22</f>
        <v>144000</v>
      </c>
      <c r="F22" s="53">
        <v>1</v>
      </c>
      <c r="G22" s="62">
        <v>0</v>
      </c>
      <c r="H22" s="63"/>
      <c r="I22" s="77">
        <f>$C$2*$E$2*80%*12</f>
        <v>144000</v>
      </c>
      <c r="J22" s="62">
        <f>IF(C2*E2*0.9&lt;=15000*C2,E2*C2*0.9,15000*C2)*12</f>
        <v>162000</v>
      </c>
      <c r="K22" s="77">
        <f>I22-J22-J23</f>
        <v>-18000</v>
      </c>
      <c r="L22" s="77">
        <f>IF(K22&gt;0,K22*$N$2,0)</f>
        <v>0</v>
      </c>
      <c r="M22" s="77">
        <f>$C$2*$E$2*80%*12-G22-G23-L22</f>
        <v>144000</v>
      </c>
      <c r="N22" s="101" t="s">
        <v>45</v>
      </c>
      <c r="O22" s="95" t="s">
        <v>18</v>
      </c>
      <c r="P22" s="88">
        <f>M22/M10</f>
        <v>0.99937539038101186</v>
      </c>
      <c r="Q22" s="104">
        <f>P22/Q10</f>
        <v>1.3325005205080158</v>
      </c>
    </row>
    <row r="23" spans="2:17" s="23" customFormat="1" ht="27.75" customHeight="1" x14ac:dyDescent="0.25">
      <c r="B23" s="74"/>
      <c r="C23" s="74"/>
      <c r="D23" s="55" t="s">
        <v>46</v>
      </c>
      <c r="E23" s="65">
        <f>IF(C2*E2*0.8&gt;15000*C2,C2*E2*0.8-15000*C2,0)*12*F23</f>
        <v>0</v>
      </c>
      <c r="F23" s="53">
        <v>0.6</v>
      </c>
      <c r="G23" s="62">
        <v>0</v>
      </c>
      <c r="H23" s="63"/>
      <c r="I23" s="87"/>
      <c r="J23" s="62">
        <f>IF(C2*E2*0.8&gt;15000*C2,C2*E2*0.8-15000*C2,0)*12*F23</f>
        <v>0</v>
      </c>
      <c r="K23" s="87"/>
      <c r="L23" s="87"/>
      <c r="M23" s="87"/>
      <c r="N23" s="102"/>
      <c r="O23" s="97"/>
      <c r="P23" s="90"/>
      <c r="Q23" s="105"/>
    </row>
    <row r="24" spans="2:17" ht="20.100000000000001" customHeight="1" x14ac:dyDescent="0.25"/>
    <row r="25" spans="2:17" s="31" customFormat="1" ht="20.100000000000001" customHeight="1" x14ac:dyDescent="0.25">
      <c r="C25" s="125" t="s">
        <v>24</v>
      </c>
      <c r="P25" s="32"/>
      <c r="Q25" s="32"/>
    </row>
    <row r="26" spans="2:17" ht="20.100000000000001" customHeight="1" x14ac:dyDescent="0.25"/>
  </sheetData>
  <mergeCells count="58">
    <mergeCell ref="N22:N23"/>
    <mergeCell ref="N20:N21"/>
    <mergeCell ref="Q22:Q23"/>
    <mergeCell ref="Q15:Q17"/>
    <mergeCell ref="N10:N11"/>
    <mergeCell ref="N18:N19"/>
    <mergeCell ref="Q12:Q14"/>
    <mergeCell ref="Q18:Q19"/>
    <mergeCell ref="Q20:Q21"/>
    <mergeCell ref="O18:O19"/>
    <mergeCell ref="P18:P19"/>
    <mergeCell ref="P20:P21"/>
    <mergeCell ref="P22:P23"/>
    <mergeCell ref="O22:O23"/>
    <mergeCell ref="O20:O21"/>
    <mergeCell ref="L18:L19"/>
    <mergeCell ref="M18:M19"/>
    <mergeCell ref="C20:C21"/>
    <mergeCell ref="C22:C23"/>
    <mergeCell ref="I20:I21"/>
    <mergeCell ref="I22:I23"/>
    <mergeCell ref="K20:K21"/>
    <mergeCell ref="L20:L21"/>
    <mergeCell ref="M20:M21"/>
    <mergeCell ref="K22:K23"/>
    <mergeCell ref="L22:L23"/>
    <mergeCell ref="M22:M23"/>
    <mergeCell ref="I12:I14"/>
    <mergeCell ref="K12:K14"/>
    <mergeCell ref="I9:K9"/>
    <mergeCell ref="K15:K17"/>
    <mergeCell ref="B18:B19"/>
    <mergeCell ref="C18:C19"/>
    <mergeCell ref="I18:I19"/>
    <mergeCell ref="K18:K19"/>
    <mergeCell ref="L15:L17"/>
    <mergeCell ref="M12:M14"/>
    <mergeCell ref="M15:M17"/>
    <mergeCell ref="O12:O14"/>
    <mergeCell ref="O15:O17"/>
    <mergeCell ref="N12:N14"/>
    <mergeCell ref="N15:N17"/>
    <mergeCell ref="P9:Q9"/>
    <mergeCell ref="B9:D9"/>
    <mergeCell ref="E9:F9"/>
    <mergeCell ref="G9:H9"/>
    <mergeCell ref="B20:B23"/>
    <mergeCell ref="C12:C14"/>
    <mergeCell ref="B12:B17"/>
    <mergeCell ref="C15:C17"/>
    <mergeCell ref="G12:G14"/>
    <mergeCell ref="H12:H14"/>
    <mergeCell ref="G15:G17"/>
    <mergeCell ref="H15:H17"/>
    <mergeCell ref="I15:I17"/>
    <mergeCell ref="P15:P17"/>
    <mergeCell ref="P12:P14"/>
    <mergeCell ref="L12:L14"/>
  </mergeCells>
  <phoneticPr fontId="3" type="noConversion"/>
  <pageMargins left="0.39370078740157483" right="0.39370078740157483" top="0.74803149606299213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試算表格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2020-08-11T01:58:00Z</cp:lastPrinted>
  <dcterms:created xsi:type="dcterms:W3CDTF">2020-08-05T07:25:30Z</dcterms:created>
  <dcterms:modified xsi:type="dcterms:W3CDTF">2021-06-18T10:58:58Z</dcterms:modified>
</cp:coreProperties>
</file>